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fa77d33fea66a78b/Desktop/1 PAIE 2025/CHAPITRES 13 - 14 - 15/2025 FICHIERS DEF/MALADIE/MALADIE/"/>
    </mc:Choice>
  </mc:AlternateContent>
  <xr:revisionPtr revIDLastSave="1" documentId="8_{588162D3-52A2-473A-990C-4A4FA60922F3}" xr6:coauthVersionLast="47" xr6:coauthVersionMax="47" xr10:uidLastSave="{6A386E0D-8A8D-4FDE-A47B-378763B58D1E}"/>
  <bookViews>
    <workbookView xWindow="-108" yWindow="-108" windowWidth="23256" windowHeight="12456" activeTab="2" xr2:uid="{5A88C5AC-FF13-470A-96E1-0CD4D88A8408}"/>
  </bookViews>
  <sheets>
    <sheet name="QUELQUES PRECISIONS " sheetId="3" r:id="rId1"/>
    <sheet name="ARRET  A COMPTER DU 0104" sheetId="1" r:id="rId2"/>
    <sheet name="ARRET ANTERIEUR AU 0104" sheetId="2" r:id="rId3"/>
  </sheets>
  <externalReferences>
    <externalReference r:id="rId4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4" i="2" l="1"/>
  <c r="F24" i="1"/>
  <c r="E7" i="1"/>
  <c r="E7" i="2" l="1"/>
  <c r="C40" i="2"/>
  <c r="C39" i="2"/>
  <c r="C38" i="2"/>
  <c r="C37" i="2"/>
  <c r="C36" i="2"/>
  <c r="C43" i="2" s="1"/>
  <c r="C19" i="2"/>
  <c r="F25" i="2" s="1"/>
  <c r="C18" i="2"/>
  <c r="C16" i="2"/>
  <c r="C11" i="2"/>
  <c r="E5" i="2"/>
  <c r="C48" i="1"/>
  <c r="C43" i="1"/>
  <c r="C50" i="1" s="1"/>
  <c r="C41" i="1"/>
  <c r="C40" i="1"/>
  <c r="C39" i="1"/>
  <c r="C52" i="1" s="1"/>
  <c r="C38" i="1"/>
  <c r="C37" i="1"/>
  <c r="C36" i="1"/>
  <c r="C19" i="1"/>
  <c r="C18" i="1"/>
  <c r="C16" i="1"/>
  <c r="C11" i="1"/>
  <c r="C13" i="1" s="1"/>
  <c r="G29" i="1" s="1"/>
  <c r="E5" i="1"/>
  <c r="C14" i="2"/>
  <c r="C55" i="1"/>
  <c r="C14" i="1"/>
  <c r="C55" i="2"/>
  <c r="C42" i="1"/>
  <c r="C52" i="2" l="1"/>
  <c r="C48" i="2"/>
  <c r="C49" i="2" s="1"/>
  <c r="C41" i="2"/>
  <c r="C15" i="2"/>
  <c r="C54" i="2"/>
  <c r="C53" i="2"/>
  <c r="C50" i="2"/>
  <c r="C51" i="2"/>
  <c r="C56" i="2"/>
  <c r="F26" i="2"/>
  <c r="G26" i="2" s="1"/>
  <c r="G25" i="2"/>
  <c r="C13" i="2"/>
  <c r="G29" i="2" s="1"/>
  <c r="G24" i="2"/>
  <c r="C15" i="1"/>
  <c r="C56" i="1"/>
  <c r="C44" i="1"/>
  <c r="C58" i="1" s="1"/>
  <c r="G24" i="1"/>
  <c r="F25" i="1"/>
  <c r="C51" i="1"/>
  <c r="C54" i="1"/>
  <c r="C53" i="1"/>
  <c r="C49" i="1"/>
  <c r="C42" i="2"/>
  <c r="C44" i="2" l="1"/>
  <c r="G27" i="2"/>
  <c r="G28" i="2" s="1"/>
  <c r="G30" i="2" s="1"/>
  <c r="C57" i="1"/>
  <c r="F26" i="1"/>
  <c r="G26" i="1" s="1"/>
  <c r="G25" i="1"/>
  <c r="G27" i="1" s="1"/>
  <c r="G28" i="1" s="1"/>
  <c r="G30" i="1" s="1"/>
  <c r="G33" i="2" l="1"/>
  <c r="G32" i="2"/>
  <c r="G31" i="2"/>
  <c r="C58" i="2"/>
  <c r="C57" i="2"/>
  <c r="G32" i="1"/>
  <c r="G31" i="1"/>
  <c r="G33" i="1"/>
</calcChain>
</file>

<file path=xl/sharedStrings.xml><?xml version="1.0" encoding="utf-8"?>
<sst xmlns="http://schemas.openxmlformats.org/spreadsheetml/2006/main" count="158" uniqueCount="80">
  <si>
    <t xml:space="preserve">Sur la nouvelle législation s'appliquant à compter du 01/04/2025 : </t>
  </si>
  <si>
    <t>https://www.village-justice.com/articles/ijss-maladie-diminution-compter-1er-avril-2025,52514.html</t>
  </si>
  <si>
    <t xml:space="preserve">Des généralités utiles sur l'arrêt maladie  </t>
  </si>
  <si>
    <t>https://culture-rh.com/ijss-maladie/</t>
  </si>
  <si>
    <t xml:space="preserve">Saisir les zones en jaune seulement </t>
  </si>
  <si>
    <t>Montant maximum de l'IJSS Maladie non professionnelle à compter du 01/04/2025</t>
  </si>
  <si>
    <t xml:space="preserve">Date de début de l'arrêt </t>
  </si>
  <si>
    <t xml:space="preserve">Date de fin de l'arrêt </t>
  </si>
  <si>
    <t xml:space="preserve">Date de début du mois </t>
  </si>
  <si>
    <t xml:space="preserve">Date de fin du mois </t>
  </si>
  <si>
    <t>31/04/2025</t>
  </si>
  <si>
    <t xml:space="preserve">Base de calcul de l'absence </t>
  </si>
  <si>
    <t xml:space="preserve">Nombre de jours calendaires </t>
  </si>
  <si>
    <t xml:space="preserve">Nombre de jours de carence </t>
  </si>
  <si>
    <t xml:space="preserve">Nombre d'IJSS </t>
  </si>
  <si>
    <t xml:space="preserve">Nombre de Samedis </t>
  </si>
  <si>
    <t xml:space="preserve">Nombre de jours ouvrables </t>
  </si>
  <si>
    <t>Nombre de jours ouvrés</t>
  </si>
  <si>
    <t xml:space="preserve">SMICH 202N </t>
  </si>
  <si>
    <t>SMICH s'appliquant au 01/01/2025</t>
  </si>
  <si>
    <t>SMICH 202N-1</t>
  </si>
  <si>
    <t>SMICH s'appliquant au 31/12/2024</t>
  </si>
  <si>
    <t>MATRICE DE  CALCUL    IJSS MALADIE   202N</t>
  </si>
  <si>
    <t>Col 1</t>
  </si>
  <si>
    <t>Col 2</t>
  </si>
  <si>
    <t>Col 3</t>
  </si>
  <si>
    <t>Col 4</t>
  </si>
  <si>
    <t xml:space="preserve">Col 5 </t>
  </si>
  <si>
    <t>Col 6</t>
  </si>
  <si>
    <t xml:space="preserve">ANNEE </t>
  </si>
  <si>
    <t xml:space="preserve">MOIS </t>
  </si>
  <si>
    <t xml:space="preserve">SALAIRES DE REFERENCE  BRUTS </t>
  </si>
  <si>
    <t>Limite de 1,8 SMIC ou 1,4 SMIC ( à compter du 01/04/2025)</t>
  </si>
  <si>
    <t xml:space="preserve">CALCUL IJSS MIN( Col 5;Col7) </t>
  </si>
  <si>
    <t>202N</t>
  </si>
  <si>
    <t>JANVIER</t>
  </si>
  <si>
    <t>Mois N-2</t>
  </si>
  <si>
    <t>FEVRIER</t>
  </si>
  <si>
    <t xml:space="preserve">MARS </t>
  </si>
  <si>
    <t xml:space="preserve">TOTAL </t>
  </si>
  <si>
    <t xml:space="preserve">Valeur d'1 IJSS </t>
  </si>
  <si>
    <t>Nombre d'IJSS</t>
  </si>
  <si>
    <t xml:space="preserve">Montant Brut des IJSS </t>
  </si>
  <si>
    <t xml:space="preserve">Montant Net des IJSS </t>
  </si>
  <si>
    <t xml:space="preserve">CSG / CRDS  2,9 % sur les IJSS Non déductible </t>
  </si>
  <si>
    <t xml:space="preserve">La décomposition est utile pour le prélévement à la source </t>
  </si>
  <si>
    <t xml:space="preserve">CSG déductible 3,8 % sur les IJSS </t>
  </si>
  <si>
    <t xml:space="preserve">MATRICE 3 VALORISATION ABSENCES </t>
  </si>
  <si>
    <t xml:space="preserve">Base de calcul absence </t>
  </si>
  <si>
    <t xml:space="preserve">Nombre de Samedis entre 2 dates </t>
  </si>
  <si>
    <t xml:space="preserve">Nombre de jours ouvrés  d'absence </t>
  </si>
  <si>
    <t xml:space="preserve">Nombre de jours ouvrables  d'absence </t>
  </si>
  <si>
    <t xml:space="preserve">Nombre d'heures réelles du mois </t>
  </si>
  <si>
    <t xml:space="preserve">Nombre d'heures réelles d'absence </t>
  </si>
  <si>
    <t xml:space="preserve">Retenue absence heures réelles du mois </t>
  </si>
  <si>
    <t xml:space="preserve">Nombre de jours ouvrés réels du mois </t>
  </si>
  <si>
    <t xml:space="preserve">Retenue absence jours ouvrés réels du mois </t>
  </si>
  <si>
    <t>Retenue absence 1 / 22</t>
  </si>
  <si>
    <t xml:space="preserve">Retenue absence 1/21,67 </t>
  </si>
  <si>
    <t xml:space="preserve">Nombre de jours calendaires réels du mois </t>
  </si>
  <si>
    <t xml:space="preserve">Retenue absence jours calendaires réels  du mois </t>
  </si>
  <si>
    <t xml:space="preserve">Retenue absence 1/ 30 éme </t>
  </si>
  <si>
    <t xml:space="preserve">Nombre de Samedis dans le mois </t>
  </si>
  <si>
    <t xml:space="preserve">Nombre de jours ouvrables  réels du mois </t>
  </si>
  <si>
    <t xml:space="preserve">Retenue absence jours ouvrables réels du mois </t>
  </si>
  <si>
    <t xml:space="preserve">Retenue absence 1/ 26 éme </t>
  </si>
  <si>
    <t xml:space="preserve">Arrêt antérieur au 01/04/2025 </t>
  </si>
  <si>
    <t xml:space="preserve">Montant maximum de l'IJSS Maladie pour les arrêts ayant débuté avant le  01/4/2025 </t>
  </si>
  <si>
    <t>202N-1</t>
  </si>
  <si>
    <t xml:space="preserve">DECEMBRE </t>
  </si>
  <si>
    <t>MOIS N-3</t>
  </si>
  <si>
    <t>Mois N-1</t>
  </si>
  <si>
    <t xml:space="preserve">Vous avez dans ce classeur 2 feuilles </t>
  </si>
  <si>
    <t xml:space="preserve">L'une et l'autre des feuilles sont programmées pour effectuer le calcul dans l'un et l'autre cas. </t>
  </si>
  <si>
    <t>* l'une pour les arrêts débutant antérieurement au 01/04/2025</t>
  </si>
  <si>
    <t>* l'autre pour les arrêts débutant à compter du 01/04/2025</t>
  </si>
  <si>
    <t>Pour les seuls besoins de la présentation vous avez 2 feuilles</t>
  </si>
  <si>
    <t xml:space="preserve">Les cellules en jaune sont les variables sur lesquelles vous pouvez effectuer des modifications. </t>
  </si>
  <si>
    <t xml:space="preserve">Date de référence   pour l'Application des  limites  de  1,8 SMIC  et 1,4 SMIC </t>
  </si>
  <si>
    <t xml:space="preserve">MATRICE DE  CALCUL    IJSS MALADIE   2025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</si>
</sst>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3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sz val="10"/>
      <name val="Calibri"/>
      <family val="2"/>
      <scheme val="minor"/>
    </font>
    <font>
      <sz val="9"/>
      <name val="Calibri"/>
      <family val="2"/>
      <scheme val="minor"/>
    </font>
    <font>
      <sz val="11"/>
      <name val="Arial"/>
      <family val="2"/>
    </font>
    <font>
      <sz val="9"/>
      <color theme="1"/>
      <name val="Calibri"/>
      <family val="2"/>
      <scheme val="minor"/>
    </font>
    <font>
      <sz val="9"/>
      <name val="Arial"/>
      <family val="2"/>
    </font>
    <font>
      <sz val="1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4"/>
      <color theme="3"/>
      <name val="Times New Roman"/>
      <family val="1"/>
    </font>
    <font>
      <sz val="10"/>
      <name val="Times New Roman"/>
      <family val="1"/>
    </font>
    <font>
      <b/>
      <sz val="12"/>
      <color theme="0"/>
      <name val="Calibri"/>
      <family val="2"/>
      <scheme val="minor"/>
    </font>
    <font>
      <sz val="11"/>
      <color theme="1"/>
      <name val="Times New Roman"/>
      <family val="1"/>
    </font>
    <font>
      <sz val="9"/>
      <color theme="1"/>
      <name val="Times New Roman"/>
      <family val="1"/>
    </font>
    <font>
      <sz val="9"/>
      <name val="Times New Roman"/>
      <family val="1"/>
    </font>
    <font>
      <sz val="11"/>
      <name val="Times New Roman"/>
      <family val="1"/>
    </font>
    <font>
      <sz val="12"/>
      <color theme="1"/>
      <name val="Times New Roman"/>
      <family val="1"/>
    </font>
  </fonts>
  <fills count="7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0070C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1" fillId="0" borderId="0"/>
  </cellStyleXfs>
  <cellXfs count="92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4" fontId="0" fillId="4" borderId="1" xfId="0" applyNumberFormat="1" applyFill="1" applyBorder="1" applyAlignment="1">
      <alignment horizontal="center" vertical="center" wrapText="1"/>
    </xf>
    <xf numFmtId="14" fontId="0" fillId="0" borderId="0" xfId="0" applyNumberFormat="1" applyAlignment="1">
      <alignment horizontal="center" vertical="center" wrapText="1"/>
    </xf>
    <xf numFmtId="2" fontId="0" fillId="4" borderId="1" xfId="0" applyNumberFormat="1" applyFill="1" applyBorder="1" applyAlignment="1">
      <alignment horizontal="center" vertical="center" wrapText="1"/>
    </xf>
    <xf numFmtId="0" fontId="1" fillId="0" borderId="0" xfId="2" applyAlignment="1">
      <alignment horizontal="center"/>
    </xf>
    <xf numFmtId="43" fontId="2" fillId="4" borderId="1" xfId="0" applyNumberFormat="1" applyFont="1" applyFill="1" applyBorder="1" applyAlignment="1">
      <alignment horizontal="center" vertical="center" wrapText="1"/>
    </xf>
    <xf numFmtId="43" fontId="0" fillId="4" borderId="1" xfId="0" applyNumberFormat="1" applyFill="1" applyBorder="1" applyAlignment="1">
      <alignment horizontal="center" vertical="center" wrapText="1"/>
    </xf>
    <xf numFmtId="0" fontId="1" fillId="0" borderId="0" xfId="2"/>
    <xf numFmtId="14" fontId="0" fillId="0" borderId="0" xfId="0" applyNumberFormat="1"/>
    <xf numFmtId="0" fontId="3" fillId="0" borderId="6" xfId="2" applyFont="1" applyBorder="1" applyAlignment="1">
      <alignment horizontal="center" vertical="center" wrapText="1"/>
    </xf>
    <xf numFmtId="0" fontId="3" fillId="0" borderId="1" xfId="2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2" fontId="8" fillId="0" borderId="1" xfId="2" applyNumberFormat="1" applyFont="1" applyBorder="1" applyAlignment="1">
      <alignment horizontal="center" vertical="center" wrapText="1"/>
    </xf>
    <xf numFmtId="2" fontId="9" fillId="0" borderId="1" xfId="2" applyNumberFormat="1" applyFont="1" applyBorder="1" applyAlignment="1">
      <alignment horizontal="center" vertical="center" wrapText="1"/>
    </xf>
    <xf numFmtId="1" fontId="0" fillId="4" borderId="6" xfId="2" applyNumberFormat="1" applyFont="1" applyFill="1" applyBorder="1" applyAlignment="1">
      <alignment horizontal="center" vertical="center" wrapText="1"/>
    </xf>
    <xf numFmtId="2" fontId="1" fillId="0" borderId="1" xfId="2" applyNumberFormat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 wrapText="1"/>
    </xf>
    <xf numFmtId="43" fontId="1" fillId="0" borderId="1" xfId="1" applyFill="1" applyBorder="1" applyAlignment="1">
      <alignment horizontal="center" vertical="center" wrapText="1"/>
    </xf>
    <xf numFmtId="43" fontId="11" fillId="0" borderId="1" xfId="1" quotePrefix="1" applyFont="1" applyFill="1" applyBorder="1" applyAlignment="1">
      <alignment horizontal="center" vertical="center" wrapText="1"/>
    </xf>
    <xf numFmtId="43" fontId="12" fillId="0" borderId="1" xfId="1" applyFont="1" applyFill="1" applyBorder="1" applyAlignment="1">
      <alignment horizontal="center" vertical="center" wrapText="1"/>
    </xf>
    <xf numFmtId="43" fontId="11" fillId="0" borderId="1" xfId="1" applyFont="1" applyFill="1" applyBorder="1" applyAlignment="1">
      <alignment horizontal="center" vertical="center" wrapText="1"/>
    </xf>
    <xf numFmtId="0" fontId="10" fillId="0" borderId="0" xfId="0" applyFont="1"/>
    <xf numFmtId="2" fontId="1" fillId="0" borderId="0" xfId="2" applyNumberFormat="1" applyAlignment="1">
      <alignment horizontal="center" vertical="center" wrapText="1"/>
    </xf>
    <xf numFmtId="2" fontId="1" fillId="0" borderId="7" xfId="2" applyNumberFormat="1" applyBorder="1" applyAlignment="1">
      <alignment horizontal="center" vertical="center" wrapText="1"/>
    </xf>
    <xf numFmtId="0" fontId="13" fillId="0" borderId="1" xfId="2" applyFont="1" applyBorder="1" applyAlignment="1">
      <alignment horizontal="center" vertical="center" wrapText="1"/>
    </xf>
    <xf numFmtId="43" fontId="13" fillId="0" borderId="1" xfId="1" applyFont="1" applyFill="1" applyBorder="1" applyAlignment="1">
      <alignment horizontal="center" vertical="center" wrapText="1"/>
    </xf>
    <xf numFmtId="2" fontId="11" fillId="0" borderId="1" xfId="2" applyNumberFormat="1" applyFont="1" applyBorder="1" applyAlignment="1">
      <alignment horizontal="center" vertical="center" wrapText="1"/>
    </xf>
    <xf numFmtId="0" fontId="14" fillId="0" borderId="7" xfId="0" applyFont="1" applyBorder="1" applyAlignment="1">
      <alignment horizontal="center" vertical="center" wrapText="1"/>
    </xf>
    <xf numFmtId="14" fontId="14" fillId="3" borderId="7" xfId="0" applyNumberFormat="1" applyFont="1" applyFill="1" applyBorder="1" applyAlignment="1">
      <alignment horizontal="center" vertical="center" wrapText="1"/>
    </xf>
    <xf numFmtId="14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14" fillId="0" borderId="1" xfId="0" applyFont="1" applyBorder="1" applyAlignment="1">
      <alignment horizontal="center" vertical="center" wrapText="1"/>
    </xf>
    <xf numFmtId="14" fontId="14" fillId="3" borderId="1" xfId="0" applyNumberFormat="1" applyFont="1" applyFill="1" applyBorder="1" applyAlignment="1">
      <alignment horizontal="center" vertical="center" wrapText="1"/>
    </xf>
    <xf numFmtId="4" fontId="0" fillId="0" borderId="0" xfId="0" applyNumberFormat="1" applyAlignment="1">
      <alignment horizontal="center"/>
    </xf>
    <xf numFmtId="2" fontId="14" fillId="3" borderId="1" xfId="0" applyNumberFormat="1" applyFont="1" applyFill="1" applyBorder="1" applyAlignment="1">
      <alignment horizontal="center" vertical="center" wrapText="1"/>
    </xf>
    <xf numFmtId="0" fontId="14" fillId="3" borderId="1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4" fillId="3" borderId="5" xfId="0" applyFont="1" applyFill="1" applyBorder="1" applyAlignment="1">
      <alignment horizontal="center" vertical="center" wrapText="1"/>
    </xf>
    <xf numFmtId="2" fontId="0" fillId="0" borderId="1" xfId="0" applyNumberFormat="1" applyBorder="1" applyAlignment="1">
      <alignment horizontal="center" vertical="center" wrapText="1"/>
    </xf>
    <xf numFmtId="43" fontId="0" fillId="4" borderId="9" xfId="0" applyNumberFormat="1" applyFill="1" applyBorder="1" applyAlignment="1">
      <alignment horizontal="center" vertical="center" wrapText="1"/>
    </xf>
    <xf numFmtId="43" fontId="18" fillId="0" borderId="1" xfId="1" applyFont="1" applyFill="1" applyBorder="1" applyAlignment="1">
      <alignment vertical="center" wrapText="1"/>
    </xf>
    <xf numFmtId="43" fontId="19" fillId="0" borderId="1" xfId="1" quotePrefix="1" applyFont="1" applyFill="1" applyBorder="1" applyAlignment="1">
      <alignment vertical="center" wrapText="1"/>
    </xf>
    <xf numFmtId="43" fontId="20" fillId="0" borderId="1" xfId="1" applyFont="1" applyFill="1" applyBorder="1" applyAlignment="1">
      <alignment vertical="center" wrapText="1"/>
    </xf>
    <xf numFmtId="43" fontId="19" fillId="0" borderId="1" xfId="1" applyFont="1" applyFill="1" applyBorder="1" applyAlignment="1">
      <alignment vertical="center" wrapText="1"/>
    </xf>
    <xf numFmtId="2" fontId="18" fillId="0" borderId="0" xfId="2" applyNumberFormat="1" applyFont="1" applyAlignment="1">
      <alignment vertical="center" wrapText="1"/>
    </xf>
    <xf numFmtId="2" fontId="18" fillId="0" borderId="7" xfId="2" applyNumberFormat="1" applyFont="1" applyBorder="1" applyAlignment="1">
      <alignment vertical="center" wrapText="1"/>
    </xf>
    <xf numFmtId="0" fontId="18" fillId="0" borderId="0" xfId="2" applyFont="1"/>
    <xf numFmtId="2" fontId="18" fillId="0" borderId="1" xfId="2" applyNumberFormat="1" applyFont="1" applyBorder="1" applyAlignment="1">
      <alignment vertical="center" wrapText="1"/>
    </xf>
    <xf numFmtId="0" fontId="21" fillId="0" borderId="1" xfId="2" applyFont="1" applyBorder="1" applyAlignment="1">
      <alignment vertical="center" wrapText="1"/>
    </xf>
    <xf numFmtId="43" fontId="21" fillId="0" borderId="1" xfId="1" applyFont="1" applyFill="1" applyBorder="1" applyAlignment="1">
      <alignment vertical="center" wrapText="1"/>
    </xf>
    <xf numFmtId="2" fontId="19" fillId="0" borderId="1" xfId="2" applyNumberFormat="1" applyFont="1" applyBorder="1" applyAlignment="1">
      <alignment vertical="center" wrapText="1"/>
    </xf>
    <xf numFmtId="0" fontId="18" fillId="0" borderId="0" xfId="0" applyFont="1"/>
    <xf numFmtId="0" fontId="22" fillId="0" borderId="0" xfId="0" applyFont="1"/>
    <xf numFmtId="0" fontId="16" fillId="0" borderId="6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14" fillId="3" borderId="6" xfId="0" applyFont="1" applyFill="1" applyBorder="1" applyAlignment="1">
      <alignment horizontal="center" vertical="center" wrapText="1"/>
    </xf>
    <xf numFmtId="0" fontId="14" fillId="2" borderId="6" xfId="0" applyFont="1" applyFill="1" applyBorder="1" applyAlignment="1">
      <alignment horizontal="center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14" fillId="3" borderId="8" xfId="0" applyFont="1" applyFill="1" applyBorder="1" applyAlignment="1">
      <alignment horizontal="center" vertical="center" wrapText="1"/>
    </xf>
    <xf numFmtId="1" fontId="13" fillId="4" borderId="6" xfId="2" applyNumberFormat="1" applyFont="1" applyFill="1" applyBorder="1" applyAlignment="1">
      <alignment horizontal="center" vertical="center" wrapText="1"/>
    </xf>
    <xf numFmtId="43" fontId="1" fillId="4" borderId="1" xfId="1" applyFill="1" applyBorder="1" applyAlignment="1">
      <alignment horizontal="center" vertical="center" wrapText="1"/>
    </xf>
    <xf numFmtId="43" fontId="13" fillId="4" borderId="1" xfId="0" applyNumberFormat="1" applyFont="1" applyFill="1" applyBorder="1" applyAlignment="1">
      <alignment horizontal="center" vertical="center" wrapText="1"/>
    </xf>
    <xf numFmtId="43" fontId="18" fillId="4" borderId="1" xfId="1" applyFont="1" applyFill="1" applyBorder="1" applyAlignment="1">
      <alignment vertical="center" wrapText="1"/>
    </xf>
    <xf numFmtId="0" fontId="0" fillId="0" borderId="4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4" borderId="1" xfId="0" applyFill="1" applyBorder="1" applyAlignment="1">
      <alignment horizontal="center" vertical="center" wrapText="1"/>
    </xf>
    <xf numFmtId="0" fontId="3" fillId="4" borderId="2" xfId="0" applyFont="1" applyFill="1" applyBorder="1" applyAlignment="1">
      <alignment horizontal="center" vertical="center" wrapText="1"/>
    </xf>
    <xf numFmtId="0" fontId="3" fillId="4" borderId="3" xfId="0" applyFont="1" applyFill="1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0" fontId="6" fillId="4" borderId="5" xfId="0" applyFont="1" applyFill="1" applyBorder="1" applyAlignment="1">
      <alignment horizontal="center" vertical="center" wrapText="1"/>
    </xf>
    <xf numFmtId="0" fontId="6" fillId="4" borderId="8" xfId="0" applyFont="1" applyFill="1" applyBorder="1" applyAlignment="1">
      <alignment horizontal="center" vertical="center" wrapText="1"/>
    </xf>
    <xf numFmtId="0" fontId="6" fillId="4" borderId="6" xfId="0" applyFont="1" applyFill="1" applyBorder="1" applyAlignment="1">
      <alignment horizontal="center" vertical="center" wrapText="1"/>
    </xf>
    <xf numFmtId="0" fontId="0" fillId="0" borderId="5" xfId="2" applyFont="1" applyBorder="1" applyAlignment="1">
      <alignment horizontal="center"/>
    </xf>
    <xf numFmtId="0" fontId="0" fillId="0" borderId="6" xfId="2" applyFont="1" applyBorder="1" applyAlignment="1">
      <alignment horizontal="center"/>
    </xf>
    <xf numFmtId="0" fontId="17" fillId="6" borderId="0" xfId="2" applyFont="1" applyFill="1" applyAlignment="1">
      <alignment horizontal="center" vertical="center" wrapText="1"/>
    </xf>
    <xf numFmtId="2" fontId="8" fillId="0" borderId="5" xfId="2" applyNumberFormat="1" applyFont="1" applyBorder="1" applyAlignment="1">
      <alignment horizontal="center" vertical="center" wrapText="1"/>
    </xf>
    <xf numFmtId="2" fontId="8" fillId="0" borderId="6" xfId="2" applyNumberFormat="1" applyFont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center" vertical="center" wrapText="1"/>
    </xf>
    <xf numFmtId="0" fontId="0" fillId="0" borderId="10" xfId="2" applyFont="1" applyBorder="1" applyAlignment="1">
      <alignment horizontal="center"/>
    </xf>
    <xf numFmtId="0" fontId="0" fillId="0" borderId="11" xfId="2" applyFont="1" applyBorder="1" applyAlignment="1">
      <alignment horizontal="center"/>
    </xf>
    <xf numFmtId="0" fontId="17" fillId="5" borderId="0" xfId="2" applyFont="1" applyFill="1" applyAlignment="1">
      <alignment horizontal="center" vertical="center" wrapText="1"/>
    </xf>
  </cellXfs>
  <cellStyles count="3">
    <cellStyle name="Milliers" xfId="1" builtinId="3"/>
    <cellStyle name="Normal" xfId="0" builtinId="0"/>
    <cellStyle name="Normal 2" xfId="2" xr:uid="{767A15E2-552F-4C02-B533-F3FFADD40BA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13</xdr:row>
      <xdr:rowOff>0</xdr:rowOff>
    </xdr:from>
    <xdr:to>
      <xdr:col>13</xdr:col>
      <xdr:colOff>243831</xdr:colOff>
      <xdr:row>37</xdr:row>
      <xdr:rowOff>111760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87D13495-E580-4A9C-9641-27FFC37FE21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92480" y="2575560"/>
          <a:ext cx="9753591" cy="486664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d.docs.live.net/fa77d33fea66a78b/Desktop/1%20PAIE%202025/CHAPITRES%2010%20-11/2025/CADRES/CHAPITRE%2010%20%20%20ENONCE%20%20CADRE%205000%20euros%202025.xlsm" TargetMode="External"/><Relationship Id="rId1" Type="http://schemas.openxmlformats.org/officeDocument/2006/relationships/externalLinkPath" Target="/fa77d33fea66a78b/Desktop/1%20PAIE%202025/CHAPITRES%2010%20-11/2025/CADRES/CHAPITRE%2010%20%20%20ENONCE%20%20CADRE%205000%20euros%202025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Enoncé et Correction "/>
      <sheetName val="Table des Taux 2025"/>
      <sheetName val="Masque de Saisie"/>
      <sheetName val="BP Version Janvier 2023"/>
      <sheetName val="BP Format Juillet 2023"/>
      <sheetName val="Feuille de Contrôle "/>
      <sheetName val="Heures Supplémentaires"/>
      <sheetName val="Red. Gen. de Cot. Janv"/>
      <sheetName val="Red. Gen. de  Cot. Mois  Isolé"/>
      <sheetName val="TR Matrice Cotisations "/>
      <sheetName val="Taux Neutre"/>
      <sheetName val="Feuille de Contrôle Vierge "/>
      <sheetName val="TR Matrice Net Imposable"/>
      <sheetName val="Matrice IJSS Maladie"/>
      <sheetName val="Matrice IJSS Maternité"/>
      <sheetName val="Matrice IJSS AT"/>
      <sheetName val="Matrice Val Abs"/>
      <sheetName val="TRAME VIERGE BP JANVIER 2023"/>
      <sheetName val="TRAME VIERGE JUILLET 2023 "/>
    </sheetNames>
    <sheetDataSet>
      <sheetData sheetId="0" refreshError="1"/>
      <sheetData sheetId="1" refreshError="1">
        <row r="51">
          <cell r="D51">
            <v>3925</v>
          </cell>
        </row>
        <row r="53">
          <cell r="D53">
            <v>11.88</v>
          </cell>
        </row>
        <row r="54">
          <cell r="D54">
            <v>11.88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8E39BE-ABA5-4C97-8D17-6F30D4E35487}">
  <dimension ref="B3:C11"/>
  <sheetViews>
    <sheetView topLeftCell="A7" workbookViewId="0">
      <selection activeCell="B14" sqref="B14"/>
    </sheetView>
  </sheetViews>
  <sheetFormatPr baseColWidth="10" defaultRowHeight="15.6" x14ac:dyDescent="0.3"/>
  <cols>
    <col min="1" max="16384" width="11.5546875" style="56"/>
  </cols>
  <sheetData>
    <row r="3" spans="2:3" x14ac:dyDescent="0.3">
      <c r="B3" s="56" t="s">
        <v>72</v>
      </c>
    </row>
    <row r="5" spans="2:3" x14ac:dyDescent="0.3">
      <c r="C5" s="56" t="s">
        <v>74</v>
      </c>
    </row>
    <row r="6" spans="2:3" x14ac:dyDescent="0.3">
      <c r="C6" s="56" t="s">
        <v>75</v>
      </c>
    </row>
    <row r="8" spans="2:3" x14ac:dyDescent="0.3">
      <c r="B8" s="56" t="s">
        <v>73</v>
      </c>
    </row>
    <row r="9" spans="2:3" x14ac:dyDescent="0.3">
      <c r="B9" s="56" t="s">
        <v>76</v>
      </c>
    </row>
    <row r="11" spans="2:3" x14ac:dyDescent="0.3">
      <c r="B11" s="56" t="s">
        <v>77</v>
      </c>
    </row>
  </sheetData>
  <pageMargins left="0.70866141732283472" right="0.70866141732283472" top="0.74803149606299213" bottom="0.74803149606299213" header="0.31496062992125984" footer="0.31496062992125984"/>
  <pageSetup paperSize="9" scale="80" orientation="landscape" horizontalDpi="4294967293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BE7292-C703-4C68-8A45-5C6EB0394BC5}">
  <dimension ref="A1:J58"/>
  <sheetViews>
    <sheetView topLeftCell="A18" workbookViewId="0">
      <selection activeCell="F25" sqref="F25"/>
    </sheetView>
  </sheetViews>
  <sheetFormatPr baseColWidth="10" defaultRowHeight="14.4" x14ac:dyDescent="0.3"/>
  <cols>
    <col min="1" max="1" width="7" style="1" customWidth="1"/>
    <col min="2" max="2" width="23.33203125" customWidth="1"/>
    <col min="3" max="4" width="14.88671875" customWidth="1"/>
    <col min="5" max="5" width="15.77734375" customWidth="1"/>
    <col min="6" max="6" width="14.88671875" customWidth="1"/>
    <col min="7" max="7" width="16.33203125" customWidth="1"/>
  </cols>
  <sheetData>
    <row r="1" spans="2:7" ht="26.4" customHeight="1" x14ac:dyDescent="0.3">
      <c r="B1" s="73" t="s">
        <v>0</v>
      </c>
      <c r="C1" s="73"/>
      <c r="D1" s="73"/>
      <c r="E1" s="73"/>
      <c r="F1" s="73"/>
      <c r="G1" s="73"/>
    </row>
    <row r="2" spans="2:7" ht="26.4" customHeight="1" x14ac:dyDescent="0.3">
      <c r="B2" s="74" t="s">
        <v>1</v>
      </c>
      <c r="C2" s="74"/>
      <c r="D2" s="74"/>
      <c r="E2" s="74"/>
      <c r="F2" s="74"/>
      <c r="G2" s="74"/>
    </row>
    <row r="3" spans="2:7" ht="23.25" customHeight="1" x14ac:dyDescent="0.3">
      <c r="B3" s="75" t="s">
        <v>2</v>
      </c>
      <c r="C3" s="75"/>
      <c r="D3" s="76" t="s">
        <v>3</v>
      </c>
      <c r="E3" s="76"/>
      <c r="F3" s="76"/>
      <c r="G3" s="76"/>
    </row>
    <row r="4" spans="2:7" ht="26.4" customHeight="1" x14ac:dyDescent="0.3">
      <c r="B4" s="77" t="s">
        <v>4</v>
      </c>
      <c r="C4" s="78"/>
      <c r="D4" s="1"/>
      <c r="F4" s="1"/>
      <c r="G4" s="1"/>
    </row>
    <row r="5" spans="2:7" ht="46.2" customHeight="1" x14ac:dyDescent="0.3">
      <c r="B5" s="57" t="s">
        <v>78</v>
      </c>
      <c r="C5" s="4">
        <v>45748</v>
      </c>
      <c r="E5" s="75">
        <f>ROUND(1.4*11.88*151.67*3*50%/91.25,2)</f>
        <v>41.47</v>
      </c>
      <c r="F5" s="75" t="s">
        <v>5</v>
      </c>
      <c r="G5" s="75"/>
    </row>
    <row r="6" spans="2:7" ht="41.25" customHeight="1" x14ac:dyDescent="0.3">
      <c r="B6" s="3" t="s">
        <v>6</v>
      </c>
      <c r="C6" s="4">
        <v>45757</v>
      </c>
      <c r="D6" s="5"/>
      <c r="E6" s="75"/>
      <c r="F6" s="75"/>
      <c r="G6" s="75"/>
    </row>
    <row r="7" spans="2:7" ht="41.25" customHeight="1" x14ac:dyDescent="0.3">
      <c r="B7" s="3" t="s">
        <v>7</v>
      </c>
      <c r="C7" s="4">
        <v>45802</v>
      </c>
      <c r="D7" s="5"/>
      <c r="E7" s="42">
        <f>1.8*11.88*3*151.67*50%/91.25</f>
        <v>53.314705972602738</v>
      </c>
      <c r="F7" s="79" t="s">
        <v>67</v>
      </c>
      <c r="G7" s="79"/>
    </row>
    <row r="8" spans="2:7" ht="41.25" customHeight="1" x14ac:dyDescent="0.3">
      <c r="B8" s="2" t="s">
        <v>8</v>
      </c>
      <c r="C8" s="4">
        <v>45748</v>
      </c>
      <c r="D8" s="5"/>
      <c r="E8" s="5"/>
      <c r="F8" s="5"/>
      <c r="G8" s="1"/>
    </row>
    <row r="9" spans="2:7" ht="41.25" customHeight="1" x14ac:dyDescent="0.3">
      <c r="B9" s="2" t="s">
        <v>9</v>
      </c>
      <c r="C9" s="4" t="s">
        <v>10</v>
      </c>
      <c r="D9" s="5"/>
      <c r="E9" s="5"/>
      <c r="F9" s="5"/>
      <c r="G9" s="1"/>
    </row>
    <row r="10" spans="2:7" ht="41.25" customHeight="1" x14ac:dyDescent="0.3">
      <c r="B10" s="2" t="s">
        <v>11</v>
      </c>
      <c r="C10" s="6"/>
      <c r="D10" s="5"/>
      <c r="E10" s="5"/>
      <c r="F10" s="5"/>
      <c r="G10" s="1"/>
    </row>
    <row r="11" spans="2:7" ht="39.75" customHeight="1" x14ac:dyDescent="0.3">
      <c r="B11" s="3" t="s">
        <v>12</v>
      </c>
      <c r="C11" s="2">
        <f>C7-C6+1</f>
        <v>46</v>
      </c>
      <c r="D11" s="1"/>
      <c r="E11" s="1"/>
      <c r="F11" s="1"/>
      <c r="G11" s="1"/>
    </row>
    <row r="12" spans="2:7" ht="39.75" customHeight="1" x14ac:dyDescent="0.3">
      <c r="B12" s="3" t="s">
        <v>13</v>
      </c>
      <c r="C12" s="2">
        <v>3</v>
      </c>
      <c r="D12" s="1"/>
      <c r="E12" s="1"/>
      <c r="F12" s="1"/>
      <c r="G12" s="1"/>
    </row>
    <row r="13" spans="2:7" ht="39.75" customHeight="1" x14ac:dyDescent="0.3">
      <c r="B13" s="3" t="s">
        <v>14</v>
      </c>
      <c r="C13" s="2">
        <f>C11-C12</f>
        <v>43</v>
      </c>
      <c r="D13" s="71"/>
      <c r="E13" s="72"/>
      <c r="F13" s="72"/>
      <c r="G13" s="1"/>
    </row>
    <row r="14" spans="2:7" ht="39.75" customHeight="1" x14ac:dyDescent="0.3">
      <c r="B14" s="3" t="s">
        <v>15</v>
      </c>
      <c r="C14" s="2">
        <f ca="1">SUMPRODUCT((WEEKDAY(ROW(INDIRECT(C$6&amp;":"&amp;C$7)))=7)*1)</f>
        <v>7</v>
      </c>
      <c r="D14" s="1"/>
      <c r="E14" s="1"/>
      <c r="F14" s="1"/>
      <c r="G14" s="1"/>
    </row>
    <row r="15" spans="2:7" ht="39.75" customHeight="1" x14ac:dyDescent="0.3">
      <c r="B15" s="3" t="s">
        <v>16</v>
      </c>
      <c r="C15" s="2">
        <f ca="1">C11-C14</f>
        <v>39</v>
      </c>
      <c r="D15" s="1"/>
      <c r="E15" s="1"/>
      <c r="F15" s="1"/>
      <c r="G15" s="1"/>
    </row>
    <row r="16" spans="2:7" ht="39.75" customHeight="1" x14ac:dyDescent="0.3">
      <c r="B16" s="3" t="s">
        <v>17</v>
      </c>
      <c r="C16" s="2">
        <f>NETWORKDAYS(C6,C7)</f>
        <v>32</v>
      </c>
      <c r="D16" s="1"/>
      <c r="E16" s="1"/>
      <c r="F16" s="1"/>
      <c r="G16" s="1"/>
    </row>
    <row r="17" spans="2:10" ht="23.25" customHeight="1" x14ac:dyDescent="0.3">
      <c r="B17" s="1"/>
      <c r="C17" s="1"/>
      <c r="D17" s="7"/>
      <c r="E17" s="7"/>
      <c r="F17" s="7"/>
      <c r="G17" s="7"/>
    </row>
    <row r="18" spans="2:10" ht="23.25" customHeight="1" x14ac:dyDescent="0.3">
      <c r="B18" s="2" t="s">
        <v>18</v>
      </c>
      <c r="C18" s="69">
        <f>'[1]Table des Taux 2025'!D54</f>
        <v>11.88</v>
      </c>
      <c r="D18" s="75" t="s">
        <v>19</v>
      </c>
      <c r="E18" s="75"/>
      <c r="F18" s="1"/>
      <c r="G18" s="1"/>
    </row>
    <row r="19" spans="2:10" ht="23.25" customHeight="1" x14ac:dyDescent="0.3">
      <c r="B19" s="2" t="s">
        <v>20</v>
      </c>
      <c r="C19" s="9">
        <f>'[1]Table des Taux 2025'!D53</f>
        <v>11.88</v>
      </c>
      <c r="D19" s="83" t="s">
        <v>21</v>
      </c>
      <c r="E19" s="84"/>
      <c r="F19" s="10"/>
      <c r="G19" s="10"/>
    </row>
    <row r="20" spans="2:10" x14ac:dyDescent="0.3">
      <c r="J20" s="11"/>
    </row>
    <row r="21" spans="2:10" ht="38.25" customHeight="1" x14ac:dyDescent="0.3">
      <c r="B21" s="85" t="s">
        <v>22</v>
      </c>
      <c r="C21" s="85"/>
      <c r="D21" s="85"/>
      <c r="E21" s="85"/>
      <c r="F21" s="85"/>
      <c r="G21" s="85"/>
      <c r="J21" s="11"/>
    </row>
    <row r="22" spans="2:10" x14ac:dyDescent="0.3">
      <c r="B22" s="12" t="s">
        <v>23</v>
      </c>
      <c r="C22" s="13" t="s">
        <v>24</v>
      </c>
      <c r="D22" s="13" t="s">
        <v>25</v>
      </c>
      <c r="E22" s="13" t="s">
        <v>26</v>
      </c>
      <c r="F22" s="13" t="s">
        <v>27</v>
      </c>
      <c r="G22" s="13" t="s">
        <v>28</v>
      </c>
    </row>
    <row r="23" spans="2:10" ht="48.6" customHeight="1" x14ac:dyDescent="0.3">
      <c r="B23" s="14" t="s">
        <v>29</v>
      </c>
      <c r="C23" s="86" t="s">
        <v>30</v>
      </c>
      <c r="D23" s="87"/>
      <c r="E23" s="15" t="s">
        <v>31</v>
      </c>
      <c r="F23" s="16" t="s">
        <v>32</v>
      </c>
      <c r="G23" s="15" t="s">
        <v>33</v>
      </c>
    </row>
    <row r="24" spans="2:10" ht="38.25" customHeight="1" x14ac:dyDescent="0.3">
      <c r="B24" s="17" t="s">
        <v>34</v>
      </c>
      <c r="C24" s="18" t="s">
        <v>70</v>
      </c>
      <c r="D24" s="19" t="s">
        <v>35</v>
      </c>
      <c r="E24" s="70">
        <v>2600</v>
      </c>
      <c r="F24" s="45">
        <f>IF(C6&lt;C5,(IF(B26="202N",1.8*C18*151.67,1.8*C19*151.67)),1.4*C18*151.67)</f>
        <v>2522.5754400000001</v>
      </c>
      <c r="G24" s="46">
        <f>MIN(F24,E24)</f>
        <v>2522.5754400000001</v>
      </c>
    </row>
    <row r="25" spans="2:10" ht="38.25" customHeight="1" x14ac:dyDescent="0.3">
      <c r="B25" s="17" t="s">
        <v>34</v>
      </c>
      <c r="C25" s="18" t="s">
        <v>36</v>
      </c>
      <c r="D25" s="19" t="s">
        <v>37</v>
      </c>
      <c r="E25" s="70">
        <v>2200</v>
      </c>
      <c r="F25" s="47">
        <f>F24</f>
        <v>2522.5754400000001</v>
      </c>
      <c r="G25" s="46">
        <f>MIN(F25,E25)</f>
        <v>2200</v>
      </c>
    </row>
    <row r="26" spans="2:10" ht="38.25" customHeight="1" x14ac:dyDescent="0.3">
      <c r="B26" s="17" t="s">
        <v>34</v>
      </c>
      <c r="C26" s="18" t="s">
        <v>71</v>
      </c>
      <c r="D26" s="19" t="s">
        <v>38</v>
      </c>
      <c r="E26" s="70">
        <v>2200</v>
      </c>
      <c r="F26" s="47">
        <f>F25</f>
        <v>2522.5754400000001</v>
      </c>
      <c r="G26" s="46">
        <f>MIN(F26,E26)</f>
        <v>2200</v>
      </c>
    </row>
    <row r="27" spans="2:10" ht="38.25" customHeight="1" x14ac:dyDescent="0.3">
      <c r="B27" s="24"/>
      <c r="C27" s="24"/>
      <c r="D27" s="25"/>
      <c r="E27" s="48"/>
      <c r="F27" s="49" t="s">
        <v>39</v>
      </c>
      <c r="G27" s="44">
        <f>SUM(G24:G26)</f>
        <v>6922.5754400000005</v>
      </c>
    </row>
    <row r="28" spans="2:10" ht="38.25" customHeight="1" x14ac:dyDescent="0.3">
      <c r="B28" s="24"/>
      <c r="C28" s="24"/>
      <c r="D28" s="10"/>
      <c r="E28" s="50"/>
      <c r="F28" s="51" t="s">
        <v>40</v>
      </c>
      <c r="G28" s="44">
        <f>ROUND(G27*0.5/91.25,6)</f>
        <v>37.931919999999998</v>
      </c>
    </row>
    <row r="29" spans="2:10" ht="38.25" customHeight="1" x14ac:dyDescent="0.3">
      <c r="B29" s="24"/>
      <c r="C29" s="24"/>
      <c r="D29" s="10"/>
      <c r="E29" s="50"/>
      <c r="F29" s="52" t="s">
        <v>41</v>
      </c>
      <c r="G29" s="53">
        <f>C13</f>
        <v>43</v>
      </c>
    </row>
    <row r="30" spans="2:10" ht="38.25" customHeight="1" x14ac:dyDescent="0.3">
      <c r="B30" s="24"/>
      <c r="C30" s="24"/>
      <c r="D30" s="10"/>
      <c r="E30" s="50"/>
      <c r="F30" s="51" t="s">
        <v>42</v>
      </c>
      <c r="G30" s="44">
        <f>ROUND(G28*G29,2)</f>
        <v>1631.07</v>
      </c>
    </row>
    <row r="31" spans="2:10" ht="38.25" customHeight="1" x14ac:dyDescent="0.3">
      <c r="B31" s="24"/>
      <c r="C31" s="24"/>
      <c r="D31" s="10"/>
      <c r="E31" s="50"/>
      <c r="F31" s="51" t="s">
        <v>43</v>
      </c>
      <c r="G31" s="44">
        <f>ROUND(G30*0.933,2)</f>
        <v>1521.79</v>
      </c>
    </row>
    <row r="32" spans="2:10" ht="38.25" customHeight="1" x14ac:dyDescent="0.3">
      <c r="B32" s="24"/>
      <c r="C32" s="24"/>
      <c r="D32" s="10"/>
      <c r="E32" s="50"/>
      <c r="F32" s="54" t="s">
        <v>44</v>
      </c>
      <c r="G32" s="44">
        <f>G30*2.9%</f>
        <v>47.301029999999997</v>
      </c>
      <c r="H32" s="71" t="s">
        <v>45</v>
      </c>
      <c r="I32" s="72"/>
    </row>
    <row r="33" spans="2:9" ht="38.25" customHeight="1" x14ac:dyDescent="0.3">
      <c r="E33" s="55"/>
      <c r="F33" s="54" t="s">
        <v>46</v>
      </c>
      <c r="G33" s="44">
        <f>G30*3.8%</f>
        <v>61.980659999999993</v>
      </c>
      <c r="H33" s="71"/>
      <c r="I33" s="72"/>
    </row>
    <row r="34" spans="2:9" ht="105" customHeight="1" x14ac:dyDescent="0.3"/>
    <row r="35" spans="2:9" ht="33.75" customHeight="1" x14ac:dyDescent="0.3">
      <c r="B35" s="80" t="s">
        <v>47</v>
      </c>
      <c r="C35" s="81"/>
      <c r="D35" s="81"/>
      <c r="E35" s="81"/>
      <c r="F35" s="81"/>
      <c r="G35" s="82"/>
    </row>
    <row r="36" spans="2:9" ht="33" customHeight="1" x14ac:dyDescent="0.3">
      <c r="B36" s="30" t="s">
        <v>6</v>
      </c>
      <c r="C36" s="31">
        <f>C6</f>
        <v>45757</v>
      </c>
      <c r="D36" s="32"/>
      <c r="E36" s="32"/>
      <c r="F36" s="32"/>
      <c r="G36" s="33"/>
    </row>
    <row r="37" spans="2:9" ht="33" customHeight="1" x14ac:dyDescent="0.3">
      <c r="B37" s="34" t="s">
        <v>7</v>
      </c>
      <c r="C37" s="35">
        <f>C7</f>
        <v>45802</v>
      </c>
      <c r="D37" s="32"/>
      <c r="E37" s="32"/>
      <c r="F37" s="32"/>
      <c r="G37" s="36"/>
    </row>
    <row r="38" spans="2:9" ht="33" customHeight="1" x14ac:dyDescent="0.3">
      <c r="B38" s="34" t="s">
        <v>8</v>
      </c>
      <c r="C38" s="35">
        <f>C8</f>
        <v>45748</v>
      </c>
      <c r="D38" s="5"/>
      <c r="E38" s="5"/>
      <c r="F38" s="5"/>
      <c r="G38" s="1"/>
    </row>
    <row r="39" spans="2:9" ht="33" customHeight="1" x14ac:dyDescent="0.3">
      <c r="B39" s="34" t="s">
        <v>9</v>
      </c>
      <c r="C39" s="35" t="str">
        <f>C9</f>
        <v>31/04/2025</v>
      </c>
      <c r="D39" s="5"/>
      <c r="E39" s="5"/>
      <c r="F39" s="5"/>
      <c r="G39" s="1"/>
    </row>
    <row r="40" spans="2:9" ht="33" customHeight="1" x14ac:dyDescent="0.3">
      <c r="B40" s="34" t="s">
        <v>48</v>
      </c>
      <c r="C40" s="37">
        <f>C10</f>
        <v>0</v>
      </c>
      <c r="D40" s="1"/>
      <c r="E40" s="1"/>
      <c r="F40" s="1"/>
      <c r="G40" s="1"/>
    </row>
    <row r="41" spans="2:9" ht="33.75" customHeight="1" x14ac:dyDescent="0.3">
      <c r="B41" s="38" t="s">
        <v>12</v>
      </c>
      <c r="C41" s="38">
        <f>C37-C36+1</f>
        <v>46</v>
      </c>
      <c r="D41" s="1"/>
      <c r="E41" s="1"/>
      <c r="F41" s="1"/>
      <c r="G41" s="1"/>
    </row>
    <row r="42" spans="2:9" ht="33.75" customHeight="1" x14ac:dyDescent="0.3">
      <c r="B42" s="39" t="s">
        <v>49</v>
      </c>
      <c r="C42" s="39">
        <f ca="1">SUMPRODUCT((WEEKDAY(ROW(INDIRECT(C$36&amp;":"&amp;C$37)))=7)*1)</f>
        <v>7</v>
      </c>
      <c r="D42" s="1"/>
      <c r="E42" s="1"/>
      <c r="F42" s="1"/>
      <c r="G42" s="1"/>
    </row>
    <row r="43" spans="2:9" ht="33.75" customHeight="1" x14ac:dyDescent="0.3">
      <c r="B43" s="38" t="s">
        <v>50</v>
      </c>
      <c r="C43" s="38">
        <f>NETWORKDAYS(C36,C37)</f>
        <v>32</v>
      </c>
      <c r="D43" s="1"/>
      <c r="E43" s="1"/>
      <c r="F43" s="1"/>
      <c r="G43" s="1"/>
    </row>
    <row r="44" spans="2:9" ht="33.75" customHeight="1" x14ac:dyDescent="0.3">
      <c r="B44" s="38" t="s">
        <v>51</v>
      </c>
      <c r="C44" s="38">
        <f ca="1">C41-C42</f>
        <v>39</v>
      </c>
      <c r="D44" s="1"/>
      <c r="E44" s="1"/>
      <c r="F44" s="1"/>
      <c r="G44" s="1"/>
    </row>
    <row r="45" spans="2:9" ht="33.75" customHeight="1" x14ac:dyDescent="0.3">
      <c r="B45" s="40" t="s">
        <v>52</v>
      </c>
      <c r="C45" s="40"/>
      <c r="D45" s="33"/>
      <c r="E45" s="33"/>
      <c r="F45" s="33"/>
      <c r="G45" s="33"/>
    </row>
    <row r="46" spans="2:9" ht="33.75" customHeight="1" x14ac:dyDescent="0.3">
      <c r="B46" s="40" t="s">
        <v>53</v>
      </c>
      <c r="C46" s="40"/>
      <c r="D46" s="33"/>
      <c r="E46" s="33"/>
      <c r="F46" s="33"/>
      <c r="G46" s="33"/>
    </row>
    <row r="47" spans="2:9" ht="33.75" customHeight="1" x14ac:dyDescent="0.3">
      <c r="B47" s="41" t="s">
        <v>54</v>
      </c>
      <c r="C47" s="38">
        <v>147</v>
      </c>
      <c r="D47" s="1"/>
      <c r="E47" s="1"/>
      <c r="F47" s="1"/>
      <c r="G47" s="1"/>
    </row>
    <row r="48" spans="2:9" ht="35.25" customHeight="1" x14ac:dyDescent="0.3">
      <c r="B48" s="39" t="s">
        <v>55</v>
      </c>
      <c r="C48" s="39" t="e">
        <f>NETWORKDAYS(C38,C39)</f>
        <v>#VALUE!</v>
      </c>
      <c r="D48" s="1"/>
      <c r="E48" s="1"/>
      <c r="F48" s="1"/>
      <c r="G48" s="1"/>
    </row>
    <row r="49" spans="2:7" ht="38.25" customHeight="1" x14ac:dyDescent="0.3">
      <c r="B49" s="38" t="s">
        <v>56</v>
      </c>
      <c r="C49" s="38" t="e">
        <f>ROUND(C40*C43/C48,2)</f>
        <v>#VALUE!</v>
      </c>
      <c r="D49" s="1"/>
      <c r="E49" s="1"/>
      <c r="F49" s="1"/>
      <c r="G49" s="1"/>
    </row>
    <row r="50" spans="2:7" ht="28.5" customHeight="1" x14ac:dyDescent="0.3">
      <c r="B50" s="38" t="s">
        <v>57</v>
      </c>
      <c r="C50" s="38">
        <f>ROUND(C40*C43/22,2)</f>
        <v>0</v>
      </c>
      <c r="D50" s="1"/>
      <c r="E50" s="1"/>
      <c r="F50" s="1"/>
      <c r="G50" s="1"/>
    </row>
    <row r="51" spans="2:7" ht="41.25" customHeight="1" x14ac:dyDescent="0.3">
      <c r="B51" s="38" t="s">
        <v>58</v>
      </c>
      <c r="C51" s="38">
        <f>ROUND(C40*C43/21.67,2)</f>
        <v>0</v>
      </c>
      <c r="D51" s="1"/>
      <c r="E51" s="1"/>
      <c r="F51" s="1"/>
      <c r="G51" s="1"/>
    </row>
    <row r="52" spans="2:7" ht="36" customHeight="1" x14ac:dyDescent="0.3">
      <c r="B52" s="39" t="s">
        <v>59</v>
      </c>
      <c r="C52" s="39" t="e">
        <f>C39-C38+1</f>
        <v>#VALUE!</v>
      </c>
      <c r="D52" s="1"/>
      <c r="E52" s="1"/>
      <c r="F52" s="1"/>
      <c r="G52" s="1"/>
    </row>
    <row r="53" spans="2:7" ht="39" customHeight="1" x14ac:dyDescent="0.3">
      <c r="B53" s="38" t="s">
        <v>60</v>
      </c>
      <c r="C53" s="38" t="e">
        <f>ROUND(C40*C41/C52,2)</f>
        <v>#VALUE!</v>
      </c>
      <c r="D53" s="1"/>
      <c r="E53" s="1"/>
      <c r="F53" s="1"/>
      <c r="G53" s="1"/>
    </row>
    <row r="54" spans="2:7" ht="35.25" customHeight="1" x14ac:dyDescent="0.3">
      <c r="B54" s="38" t="s">
        <v>61</v>
      </c>
      <c r="C54" s="38">
        <f>ROUND(C40*C41/30,2)</f>
        <v>0</v>
      </c>
      <c r="D54" s="1"/>
      <c r="E54" s="1"/>
      <c r="F54" s="1"/>
      <c r="G54" s="1"/>
    </row>
    <row r="55" spans="2:7" ht="36" customHeight="1" x14ac:dyDescent="0.3">
      <c r="B55" s="39" t="s">
        <v>62</v>
      </c>
      <c r="C55" s="39" t="e">
        <f ca="1">SUMPRODUCT((WEEKDAY(ROW(INDIRECT($C38&amp;":"&amp;$C39)))=7)*1)</f>
        <v>#REF!</v>
      </c>
      <c r="D55" s="1"/>
      <c r="E55" s="1"/>
      <c r="F55" s="1"/>
      <c r="G55" s="1"/>
    </row>
    <row r="56" spans="2:7" ht="36" customHeight="1" x14ac:dyDescent="0.3">
      <c r="B56" s="39" t="s">
        <v>63</v>
      </c>
      <c r="C56" s="39" t="e">
        <f ca="1">C52-C55</f>
        <v>#VALUE!</v>
      </c>
      <c r="D56" s="1"/>
      <c r="E56" s="1"/>
      <c r="F56" s="1"/>
      <c r="G56" s="1"/>
    </row>
    <row r="57" spans="2:7" ht="39.75" customHeight="1" x14ac:dyDescent="0.3">
      <c r="B57" s="38" t="s">
        <v>64</v>
      </c>
      <c r="C57" s="38" t="e">
        <f ca="1">ROUND(C40*C44/C56,2)</f>
        <v>#VALUE!</v>
      </c>
      <c r="D57" s="1"/>
      <c r="E57" s="1"/>
      <c r="F57" s="1"/>
      <c r="G57" s="1"/>
    </row>
    <row r="58" spans="2:7" ht="39.75" customHeight="1" x14ac:dyDescent="0.3">
      <c r="B58" s="38" t="s">
        <v>65</v>
      </c>
      <c r="C58" s="38">
        <f ca="1">ROUND(C40*C44/26,2)</f>
        <v>0</v>
      </c>
      <c r="D58" s="1"/>
      <c r="E58" s="1"/>
      <c r="F58" s="1"/>
      <c r="G58" s="1"/>
    </row>
  </sheetData>
  <mergeCells count="15">
    <mergeCell ref="B35:G35"/>
    <mergeCell ref="D13:F13"/>
    <mergeCell ref="D18:E18"/>
    <mergeCell ref="D19:E19"/>
    <mergeCell ref="B21:G21"/>
    <mergeCell ref="C23:D23"/>
    <mergeCell ref="H32:I33"/>
    <mergeCell ref="B1:G1"/>
    <mergeCell ref="B2:G2"/>
    <mergeCell ref="B3:C3"/>
    <mergeCell ref="D3:G3"/>
    <mergeCell ref="B4:C4"/>
    <mergeCell ref="E5:E6"/>
    <mergeCell ref="F5:G6"/>
    <mergeCell ref="F7:G7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03DEA6-798F-44D8-B84C-96336E2DAC0E}">
  <dimension ref="A1:K58"/>
  <sheetViews>
    <sheetView tabSelected="1" topLeftCell="A23" workbookViewId="0">
      <selection activeCell="F26" sqref="F26"/>
    </sheetView>
  </sheetViews>
  <sheetFormatPr baseColWidth="10" defaultRowHeight="14.4" x14ac:dyDescent="0.3"/>
  <cols>
    <col min="1" max="1" width="4.77734375" style="1" customWidth="1"/>
    <col min="2" max="2" width="13.33203125" customWidth="1"/>
    <col min="3" max="4" width="14.88671875" customWidth="1"/>
    <col min="5" max="5" width="14.77734375" customWidth="1"/>
    <col min="6" max="6" width="14.88671875" customWidth="1"/>
    <col min="7" max="7" width="16.33203125" customWidth="1"/>
  </cols>
  <sheetData>
    <row r="1" spans="2:11" ht="26.4" hidden="1" customHeight="1" x14ac:dyDescent="0.3">
      <c r="B1" s="88" t="s">
        <v>66</v>
      </c>
      <c r="C1" s="88"/>
      <c r="D1" s="88"/>
      <c r="E1" s="88"/>
      <c r="F1" s="88"/>
      <c r="G1" s="88"/>
    </row>
    <row r="2" spans="2:11" ht="0.6" customHeight="1" x14ac:dyDescent="0.3">
      <c r="B2" s="74"/>
      <c r="C2" s="74"/>
      <c r="D2" s="74"/>
      <c r="E2" s="74"/>
      <c r="F2" s="74"/>
      <c r="G2" s="74"/>
    </row>
    <row r="3" spans="2:11" ht="30" hidden="1" customHeight="1" x14ac:dyDescent="0.3">
      <c r="B3" s="75" t="s">
        <v>2</v>
      </c>
      <c r="C3" s="75"/>
      <c r="D3" s="76" t="s">
        <v>3</v>
      </c>
      <c r="E3" s="76"/>
      <c r="F3" s="76"/>
      <c r="G3" s="76"/>
    </row>
    <row r="4" spans="2:11" ht="26.4" customHeight="1" x14ac:dyDescent="0.3">
      <c r="B4" s="77" t="s">
        <v>4</v>
      </c>
      <c r="C4" s="78"/>
      <c r="D4" s="1"/>
      <c r="F4" s="1"/>
      <c r="G4" s="1"/>
    </row>
    <row r="5" spans="2:11" ht="79.2" x14ac:dyDescent="0.3">
      <c r="B5" s="57" t="s">
        <v>78</v>
      </c>
      <c r="C5" s="4">
        <v>45748</v>
      </c>
      <c r="E5" s="75">
        <f>ROUND(1.4*11.88*151.67*3*50%/91.25,2)</f>
        <v>41.47</v>
      </c>
      <c r="F5" s="75" t="s">
        <v>5</v>
      </c>
      <c r="G5" s="75"/>
      <c r="I5" s="1"/>
      <c r="J5" s="1"/>
      <c r="K5" s="1"/>
    </row>
    <row r="6" spans="2:11" ht="41.25" customHeight="1" x14ac:dyDescent="0.3">
      <c r="B6" s="58" t="s">
        <v>6</v>
      </c>
      <c r="C6" s="4">
        <v>45726</v>
      </c>
      <c r="D6" s="5"/>
      <c r="E6" s="75"/>
      <c r="F6" s="75"/>
      <c r="G6" s="75"/>
    </row>
    <row r="7" spans="2:11" ht="41.25" customHeight="1" x14ac:dyDescent="0.3">
      <c r="B7" s="58" t="s">
        <v>7</v>
      </c>
      <c r="C7" s="4">
        <v>45741</v>
      </c>
      <c r="D7" s="5"/>
      <c r="E7" s="42">
        <f>1.8*11.88*3*151.67*50%/91.25</f>
        <v>53.314705972602738</v>
      </c>
      <c r="F7" s="79" t="s">
        <v>67</v>
      </c>
      <c r="G7" s="79"/>
    </row>
    <row r="8" spans="2:11" ht="41.25" customHeight="1" x14ac:dyDescent="0.3">
      <c r="B8" s="59" t="s">
        <v>8</v>
      </c>
      <c r="C8" s="4">
        <v>45717</v>
      </c>
      <c r="D8" s="5"/>
      <c r="E8" s="5"/>
      <c r="F8" s="5"/>
      <c r="G8" s="1"/>
    </row>
    <row r="9" spans="2:11" ht="41.25" customHeight="1" x14ac:dyDescent="0.3">
      <c r="B9" s="59" t="s">
        <v>9</v>
      </c>
      <c r="C9" s="4">
        <v>45747</v>
      </c>
      <c r="D9" s="5"/>
      <c r="E9" s="5"/>
      <c r="F9" s="5"/>
      <c r="G9" s="1"/>
    </row>
    <row r="10" spans="2:11" ht="41.25" customHeight="1" x14ac:dyDescent="0.3">
      <c r="B10" s="59" t="s">
        <v>11</v>
      </c>
      <c r="C10" s="6"/>
      <c r="D10" s="5"/>
      <c r="E10" s="5"/>
      <c r="F10" s="5"/>
      <c r="G10" s="1"/>
    </row>
    <row r="11" spans="2:11" ht="39.75" customHeight="1" x14ac:dyDescent="0.3">
      <c r="B11" s="58" t="s">
        <v>12</v>
      </c>
      <c r="C11" s="2">
        <f>C7-C6+1</f>
        <v>16</v>
      </c>
      <c r="D11" s="1"/>
      <c r="E11" s="1"/>
      <c r="F11" s="1"/>
      <c r="G11" s="1"/>
    </row>
    <row r="12" spans="2:11" ht="39.75" customHeight="1" x14ac:dyDescent="0.3">
      <c r="B12" s="58" t="s">
        <v>13</v>
      </c>
      <c r="C12" s="2">
        <v>3</v>
      </c>
      <c r="D12" s="1"/>
      <c r="E12" s="1"/>
      <c r="F12" s="1"/>
      <c r="G12" s="1"/>
    </row>
    <row r="13" spans="2:11" ht="39.75" customHeight="1" x14ac:dyDescent="0.3">
      <c r="B13" s="58" t="s">
        <v>14</v>
      </c>
      <c r="C13" s="2">
        <f>C11-C12</f>
        <v>13</v>
      </c>
      <c r="D13" s="71"/>
      <c r="E13" s="72"/>
      <c r="F13" s="72"/>
      <c r="G13" s="1"/>
    </row>
    <row r="14" spans="2:11" ht="39.75" customHeight="1" x14ac:dyDescent="0.3">
      <c r="B14" s="58" t="s">
        <v>15</v>
      </c>
      <c r="C14" s="2">
        <f ca="1">SUMPRODUCT((WEEKDAY(ROW(INDIRECT(C$6&amp;":"&amp;C$7)))=7)*1)</f>
        <v>2</v>
      </c>
      <c r="D14" s="1"/>
      <c r="E14" s="1"/>
      <c r="F14" s="1"/>
      <c r="G14" s="1"/>
    </row>
    <row r="15" spans="2:11" ht="39.75" customHeight="1" x14ac:dyDescent="0.3">
      <c r="B15" s="58" t="s">
        <v>16</v>
      </c>
      <c r="C15" s="2">
        <f ca="1">C11-C14</f>
        <v>14</v>
      </c>
      <c r="D15" s="1"/>
      <c r="E15" s="1"/>
      <c r="F15" s="1"/>
      <c r="G15" s="1"/>
    </row>
    <row r="16" spans="2:11" ht="39.75" customHeight="1" x14ac:dyDescent="0.3">
      <c r="B16" s="58" t="s">
        <v>17</v>
      </c>
      <c r="C16" s="2">
        <f>NETWORKDAYS(C6,C7)</f>
        <v>12</v>
      </c>
      <c r="D16" s="1"/>
      <c r="E16" s="1"/>
      <c r="F16" s="1"/>
      <c r="G16" s="1"/>
    </row>
    <row r="17" spans="2:10" ht="23.25" customHeight="1" x14ac:dyDescent="0.3">
      <c r="B17" s="1"/>
      <c r="C17" s="1"/>
      <c r="D17" s="7"/>
      <c r="E17" s="7"/>
      <c r="F17" s="7"/>
      <c r="G17" s="7"/>
    </row>
    <row r="18" spans="2:10" ht="23.25" customHeight="1" x14ac:dyDescent="0.3">
      <c r="B18" s="59" t="s">
        <v>18</v>
      </c>
      <c r="C18" s="8">
        <f>'[1]Table des Taux 2025'!D54</f>
        <v>11.88</v>
      </c>
      <c r="D18" s="75" t="s">
        <v>19</v>
      </c>
      <c r="E18" s="75"/>
      <c r="F18" s="1"/>
      <c r="G18" s="1"/>
    </row>
    <row r="19" spans="2:10" ht="23.25" customHeight="1" x14ac:dyDescent="0.3">
      <c r="B19" s="60" t="s">
        <v>20</v>
      </c>
      <c r="C19" s="43">
        <f>'[1]Table des Taux 2025'!D53</f>
        <v>11.88</v>
      </c>
      <c r="D19" s="89" t="s">
        <v>21</v>
      </c>
      <c r="E19" s="90"/>
      <c r="F19" s="10"/>
      <c r="G19" s="10"/>
    </row>
    <row r="20" spans="2:10" x14ac:dyDescent="0.3">
      <c r="B20" s="1"/>
      <c r="C20" s="33"/>
      <c r="D20" s="33"/>
      <c r="E20" s="33"/>
      <c r="F20" s="33"/>
      <c r="G20" s="33"/>
      <c r="J20" s="11"/>
    </row>
    <row r="21" spans="2:10" ht="38.25" customHeight="1" x14ac:dyDescent="0.3">
      <c r="B21" s="91" t="s">
        <v>79</v>
      </c>
      <c r="C21" s="91"/>
      <c r="D21" s="91"/>
      <c r="E21" s="91"/>
      <c r="F21" s="91"/>
      <c r="G21" s="91"/>
      <c r="J21" s="11"/>
    </row>
    <row r="22" spans="2:10" ht="31.2" customHeight="1" x14ac:dyDescent="0.3">
      <c r="B22" s="12" t="s">
        <v>23</v>
      </c>
      <c r="C22" s="13" t="s">
        <v>24</v>
      </c>
      <c r="D22" s="13" t="s">
        <v>25</v>
      </c>
      <c r="E22" s="13" t="s">
        <v>26</v>
      </c>
      <c r="F22" s="13" t="s">
        <v>27</v>
      </c>
      <c r="G22" s="13" t="s">
        <v>28</v>
      </c>
    </row>
    <row r="23" spans="2:10" ht="48.6" customHeight="1" x14ac:dyDescent="0.3">
      <c r="B23" s="14" t="s">
        <v>29</v>
      </c>
      <c r="C23" s="86" t="s">
        <v>30</v>
      </c>
      <c r="D23" s="87"/>
      <c r="E23" s="15" t="s">
        <v>31</v>
      </c>
      <c r="F23" s="16" t="s">
        <v>32</v>
      </c>
      <c r="G23" s="15" t="s">
        <v>33</v>
      </c>
    </row>
    <row r="24" spans="2:10" ht="38.25" customHeight="1" x14ac:dyDescent="0.3">
      <c r="B24" s="67" t="s">
        <v>68</v>
      </c>
      <c r="C24" s="18" t="s">
        <v>70</v>
      </c>
      <c r="D24" s="19" t="s">
        <v>69</v>
      </c>
      <c r="E24" s="68">
        <v>4000</v>
      </c>
      <c r="F24" s="21">
        <f>IF(C6&lt;C5,IF(B26="202N",1.8*C18*151.67,1.8*C19*151.67),1.4*C18*151.67)</f>
        <v>3243.3112799999999</v>
      </c>
      <c r="G24" s="22">
        <f>MIN(F24,E24)</f>
        <v>3243.3112799999999</v>
      </c>
    </row>
    <row r="25" spans="2:10" ht="38.25" customHeight="1" x14ac:dyDescent="0.3">
      <c r="B25" s="67" t="s">
        <v>34</v>
      </c>
      <c r="C25" s="18" t="s">
        <v>36</v>
      </c>
      <c r="D25" s="19" t="s">
        <v>35</v>
      </c>
      <c r="E25" s="68">
        <v>2400</v>
      </c>
      <c r="F25" s="23">
        <f>F24</f>
        <v>3243.3112799999999</v>
      </c>
      <c r="G25" s="22">
        <f>MIN(F25,E25)</f>
        <v>2400</v>
      </c>
    </row>
    <row r="26" spans="2:10" ht="38.25" customHeight="1" x14ac:dyDescent="0.3">
      <c r="B26" s="67" t="s">
        <v>34</v>
      </c>
      <c r="C26" s="18" t="s">
        <v>71</v>
      </c>
      <c r="D26" s="19" t="s">
        <v>37</v>
      </c>
      <c r="E26" s="68">
        <v>2800</v>
      </c>
      <c r="F26" s="23">
        <f>F25</f>
        <v>3243.3112799999999</v>
      </c>
      <c r="G26" s="22">
        <f>MIN(F26,E26)</f>
        <v>2800</v>
      </c>
    </row>
    <row r="27" spans="2:10" ht="38.25" customHeight="1" x14ac:dyDescent="0.3">
      <c r="B27" s="24"/>
      <c r="C27" s="24"/>
      <c r="D27" s="25"/>
      <c r="E27" s="25"/>
      <c r="F27" s="26" t="s">
        <v>39</v>
      </c>
      <c r="G27" s="20">
        <f>SUM(G24:G26)</f>
        <v>8443.3112799999999</v>
      </c>
    </row>
    <row r="28" spans="2:10" ht="38.25" customHeight="1" x14ac:dyDescent="0.3">
      <c r="B28" s="24"/>
      <c r="C28" s="24"/>
      <c r="D28" s="10"/>
      <c r="E28" s="10"/>
      <c r="F28" s="18" t="s">
        <v>40</v>
      </c>
      <c r="G28" s="20">
        <f>ROUND(G27*0.5/91.25,6)</f>
        <v>46.264718999999999</v>
      </c>
    </row>
    <row r="29" spans="2:10" ht="38.25" customHeight="1" x14ac:dyDescent="0.3">
      <c r="B29" s="24"/>
      <c r="C29" s="24"/>
      <c r="D29" s="10"/>
      <c r="E29" s="10"/>
      <c r="F29" s="27" t="s">
        <v>41</v>
      </c>
      <c r="G29" s="28">
        <f>C13</f>
        <v>13</v>
      </c>
    </row>
    <row r="30" spans="2:10" ht="38.25" customHeight="1" x14ac:dyDescent="0.3">
      <c r="B30" s="24"/>
      <c r="C30" s="24"/>
      <c r="D30" s="10"/>
      <c r="E30" s="10"/>
      <c r="F30" s="18" t="s">
        <v>42</v>
      </c>
      <c r="G30" s="20">
        <f>ROUND(G28*G29,2)</f>
        <v>601.44000000000005</v>
      </c>
    </row>
    <row r="31" spans="2:10" ht="38.25" customHeight="1" x14ac:dyDescent="0.3">
      <c r="B31" s="24"/>
      <c r="C31" s="24"/>
      <c r="D31" s="10"/>
      <c r="E31" s="10"/>
      <c r="F31" s="18" t="s">
        <v>43</v>
      </c>
      <c r="G31" s="20">
        <f>ROUND(G30*0.933,2)</f>
        <v>561.14</v>
      </c>
    </row>
    <row r="32" spans="2:10" ht="38.25" customHeight="1" x14ac:dyDescent="0.3">
      <c r="B32" s="24"/>
      <c r="C32" s="24"/>
      <c r="D32" s="10"/>
      <c r="E32" s="10"/>
      <c r="F32" s="29" t="s">
        <v>44</v>
      </c>
      <c r="G32" s="20">
        <f>G30*2.9%</f>
        <v>17.441760000000002</v>
      </c>
      <c r="H32" s="71" t="s">
        <v>45</v>
      </c>
      <c r="I32" s="72"/>
    </row>
    <row r="33" spans="2:9" ht="38.25" customHeight="1" x14ac:dyDescent="0.3">
      <c r="F33" s="29" t="s">
        <v>46</v>
      </c>
      <c r="G33" s="20">
        <f>G30*3.8%</f>
        <v>22.85472</v>
      </c>
      <c r="H33" s="71"/>
      <c r="I33" s="72"/>
    </row>
    <row r="34" spans="2:9" ht="105" customHeight="1" x14ac:dyDescent="0.3"/>
    <row r="35" spans="2:9" ht="33.75" customHeight="1" x14ac:dyDescent="0.3">
      <c r="B35" s="80" t="s">
        <v>47</v>
      </c>
      <c r="C35" s="81"/>
      <c r="D35" s="81"/>
      <c r="E35" s="81"/>
      <c r="F35" s="81"/>
      <c r="G35" s="82"/>
    </row>
    <row r="36" spans="2:9" ht="33" customHeight="1" x14ac:dyDescent="0.3">
      <c r="B36" s="61" t="s">
        <v>6</v>
      </c>
      <c r="C36" s="31">
        <f>C6</f>
        <v>45726</v>
      </c>
      <c r="D36" s="32"/>
      <c r="E36" s="32"/>
      <c r="F36" s="32"/>
      <c r="G36" s="33"/>
    </row>
    <row r="37" spans="2:9" ht="33" customHeight="1" x14ac:dyDescent="0.3">
      <c r="B37" s="62" t="s">
        <v>7</v>
      </c>
      <c r="C37" s="35">
        <f>C7</f>
        <v>45741</v>
      </c>
      <c r="D37" s="32"/>
      <c r="E37" s="32"/>
      <c r="F37" s="32"/>
      <c r="G37" s="36"/>
    </row>
    <row r="38" spans="2:9" ht="33" customHeight="1" x14ac:dyDescent="0.3">
      <c r="B38" s="62" t="s">
        <v>8</v>
      </c>
      <c r="C38" s="35">
        <f>C8</f>
        <v>45717</v>
      </c>
      <c r="D38" s="5"/>
      <c r="E38" s="5"/>
      <c r="F38" s="5"/>
      <c r="G38" s="1"/>
    </row>
    <row r="39" spans="2:9" ht="33" customHeight="1" x14ac:dyDescent="0.3">
      <c r="B39" s="62" t="s">
        <v>9</v>
      </c>
      <c r="C39" s="35">
        <f>C9</f>
        <v>45747</v>
      </c>
      <c r="D39" s="5"/>
      <c r="E39" s="5"/>
      <c r="F39" s="5"/>
      <c r="G39" s="1"/>
    </row>
    <row r="40" spans="2:9" ht="33" customHeight="1" x14ac:dyDescent="0.3">
      <c r="B40" s="62" t="s">
        <v>48</v>
      </c>
      <c r="C40" s="37">
        <f>C10</f>
        <v>0</v>
      </c>
      <c r="D40" s="1"/>
      <c r="E40" s="1"/>
      <c r="F40" s="1"/>
      <c r="G40" s="1"/>
    </row>
    <row r="41" spans="2:9" ht="33.75" customHeight="1" x14ac:dyDescent="0.3">
      <c r="B41" s="63" t="s">
        <v>12</v>
      </c>
      <c r="C41" s="38">
        <f>C37-C36+1</f>
        <v>16</v>
      </c>
      <c r="D41" s="1"/>
      <c r="E41" s="1"/>
      <c r="F41" s="1"/>
      <c r="G41" s="1"/>
    </row>
    <row r="42" spans="2:9" ht="33.75" customHeight="1" x14ac:dyDescent="0.3">
      <c r="B42" s="64" t="s">
        <v>49</v>
      </c>
      <c r="C42" s="39">
        <f ca="1">SUMPRODUCT((WEEKDAY(ROW(INDIRECT(C$36&amp;":"&amp;C$37)))=7)*1)</f>
        <v>2</v>
      </c>
      <c r="D42" s="1"/>
      <c r="E42" s="1"/>
      <c r="F42" s="1"/>
      <c r="G42" s="1"/>
    </row>
    <row r="43" spans="2:9" ht="33.75" customHeight="1" x14ac:dyDescent="0.3">
      <c r="B43" s="63" t="s">
        <v>50</v>
      </c>
      <c r="C43" s="38">
        <f>NETWORKDAYS(C36,C37)</f>
        <v>12</v>
      </c>
      <c r="D43" s="1"/>
      <c r="E43" s="1"/>
      <c r="F43" s="1"/>
      <c r="G43" s="1"/>
    </row>
    <row r="44" spans="2:9" ht="33.75" customHeight="1" x14ac:dyDescent="0.3">
      <c r="B44" s="63" t="s">
        <v>51</v>
      </c>
      <c r="C44" s="38">
        <f ca="1">C41-C42</f>
        <v>14</v>
      </c>
      <c r="D44" s="1"/>
      <c r="E44" s="1"/>
      <c r="F44" s="1"/>
      <c r="G44" s="1"/>
    </row>
    <row r="45" spans="2:9" ht="33.75" customHeight="1" x14ac:dyDescent="0.3">
      <c r="B45" s="65" t="s">
        <v>52</v>
      </c>
      <c r="C45" s="40"/>
      <c r="D45" s="33"/>
      <c r="E45" s="33"/>
      <c r="F45" s="33"/>
      <c r="G45" s="33"/>
    </row>
    <row r="46" spans="2:9" ht="33.75" customHeight="1" x14ac:dyDescent="0.3">
      <c r="B46" s="65" t="s">
        <v>53</v>
      </c>
      <c r="C46" s="40"/>
      <c r="D46" s="33"/>
      <c r="E46" s="33"/>
      <c r="F46" s="33"/>
      <c r="G46" s="33"/>
    </row>
    <row r="47" spans="2:9" ht="33.75" customHeight="1" x14ac:dyDescent="0.3">
      <c r="B47" s="66" t="s">
        <v>54</v>
      </c>
      <c r="C47" s="38">
        <v>147</v>
      </c>
      <c r="D47" s="1"/>
      <c r="E47" s="1"/>
      <c r="F47" s="1"/>
      <c r="G47" s="1"/>
    </row>
    <row r="48" spans="2:9" ht="35.25" customHeight="1" x14ac:dyDescent="0.3">
      <c r="B48" s="64" t="s">
        <v>55</v>
      </c>
      <c r="C48" s="39">
        <f>NETWORKDAYS(C38,C39)</f>
        <v>21</v>
      </c>
      <c r="D48" s="1"/>
      <c r="E48" s="1"/>
      <c r="F48" s="1"/>
      <c r="G48" s="1"/>
    </row>
    <row r="49" spans="2:7" ht="38.25" customHeight="1" x14ac:dyDescent="0.3">
      <c r="B49" s="63" t="s">
        <v>56</v>
      </c>
      <c r="C49" s="38">
        <f>ROUND(C40*C43/C48,2)</f>
        <v>0</v>
      </c>
      <c r="D49" s="1"/>
      <c r="E49" s="1"/>
      <c r="F49" s="1"/>
      <c r="G49" s="1"/>
    </row>
    <row r="50" spans="2:7" ht="28.5" customHeight="1" x14ac:dyDescent="0.3">
      <c r="B50" s="63" t="s">
        <v>57</v>
      </c>
      <c r="C50" s="38">
        <f>ROUND(C40*C43/22,2)</f>
        <v>0</v>
      </c>
      <c r="D50" s="1"/>
      <c r="E50" s="1"/>
      <c r="F50" s="1"/>
      <c r="G50" s="1"/>
    </row>
    <row r="51" spans="2:7" ht="41.25" customHeight="1" x14ac:dyDescent="0.3">
      <c r="B51" s="63" t="s">
        <v>58</v>
      </c>
      <c r="C51" s="38">
        <f>ROUND(C40*C43/21.67,2)</f>
        <v>0</v>
      </c>
      <c r="D51" s="1"/>
      <c r="E51" s="1"/>
      <c r="F51" s="1"/>
      <c r="G51" s="1"/>
    </row>
    <row r="52" spans="2:7" ht="36" customHeight="1" x14ac:dyDescent="0.3">
      <c r="B52" s="64" t="s">
        <v>59</v>
      </c>
      <c r="C52" s="39">
        <f>C39-C38+1</f>
        <v>31</v>
      </c>
      <c r="D52" s="1"/>
      <c r="E52" s="1"/>
      <c r="F52" s="1"/>
      <c r="G52" s="1"/>
    </row>
    <row r="53" spans="2:7" ht="39" customHeight="1" x14ac:dyDescent="0.3">
      <c r="B53" s="63" t="s">
        <v>60</v>
      </c>
      <c r="C53" s="38">
        <f>ROUND(C40*C41/C52,2)</f>
        <v>0</v>
      </c>
      <c r="D53" s="1"/>
      <c r="E53" s="1"/>
      <c r="F53" s="1"/>
      <c r="G53" s="1"/>
    </row>
    <row r="54" spans="2:7" ht="35.25" customHeight="1" x14ac:dyDescent="0.3">
      <c r="B54" s="63" t="s">
        <v>61</v>
      </c>
      <c r="C54" s="38">
        <f>ROUND(C40*C41/30,2)</f>
        <v>0</v>
      </c>
      <c r="D54" s="1"/>
      <c r="E54" s="1"/>
      <c r="F54" s="1"/>
      <c r="G54" s="1"/>
    </row>
    <row r="55" spans="2:7" ht="36" customHeight="1" x14ac:dyDescent="0.3">
      <c r="B55" s="64" t="s">
        <v>62</v>
      </c>
      <c r="C55" s="39">
        <f ca="1">SUMPRODUCT((WEEKDAY(ROW(INDIRECT($C38&amp;":"&amp;$C39)))=7)*1)</f>
        <v>5</v>
      </c>
      <c r="D55" s="1"/>
      <c r="E55" s="1"/>
      <c r="F55" s="1"/>
      <c r="G55" s="1"/>
    </row>
    <row r="56" spans="2:7" ht="36" customHeight="1" x14ac:dyDescent="0.3">
      <c r="B56" s="64" t="s">
        <v>63</v>
      </c>
      <c r="C56" s="39">
        <f ca="1">C52-C55</f>
        <v>26</v>
      </c>
      <c r="D56" s="1"/>
      <c r="E56" s="1"/>
      <c r="F56" s="1"/>
      <c r="G56" s="1"/>
    </row>
    <row r="57" spans="2:7" ht="39.75" customHeight="1" x14ac:dyDescent="0.3">
      <c r="B57" s="63" t="s">
        <v>64</v>
      </c>
      <c r="C57" s="38">
        <f ca="1">ROUND(C40*C44/C56,2)</f>
        <v>0</v>
      </c>
      <c r="D57" s="1"/>
      <c r="E57" s="1"/>
      <c r="F57" s="1"/>
      <c r="G57" s="1"/>
    </row>
    <row r="58" spans="2:7" ht="39.75" customHeight="1" x14ac:dyDescent="0.3">
      <c r="B58" s="63" t="s">
        <v>65</v>
      </c>
      <c r="C58" s="38">
        <f ca="1">ROUND(C40*C44/26,2)</f>
        <v>0</v>
      </c>
      <c r="D58" s="1"/>
      <c r="E58" s="1"/>
      <c r="F58" s="1"/>
      <c r="G58" s="1"/>
    </row>
  </sheetData>
  <mergeCells count="15">
    <mergeCell ref="B35:G35"/>
    <mergeCell ref="F7:G7"/>
    <mergeCell ref="D13:F13"/>
    <mergeCell ref="D18:E18"/>
    <mergeCell ref="D19:E19"/>
    <mergeCell ref="B21:G21"/>
    <mergeCell ref="C23:D23"/>
    <mergeCell ref="H32:I33"/>
    <mergeCell ref="B1:G1"/>
    <mergeCell ref="B2:G2"/>
    <mergeCell ref="B3:C3"/>
    <mergeCell ref="D3:G3"/>
    <mergeCell ref="B4:C4"/>
    <mergeCell ref="E5:E6"/>
    <mergeCell ref="F5:G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QUELQUES PRECISIONS </vt:lpstr>
      <vt:lpstr>ARRET  A COMPTER DU 0104</vt:lpstr>
      <vt:lpstr>ARRET ANTERIEUR AU 0104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jacques LE CHEVANTON</dc:creator>
  <cp:lastModifiedBy>jacques LE CHEVANTON</cp:lastModifiedBy>
  <cp:lastPrinted>2025-06-05T05:16:31Z</cp:lastPrinted>
  <dcterms:created xsi:type="dcterms:W3CDTF">2025-04-08T13:01:52Z</dcterms:created>
  <dcterms:modified xsi:type="dcterms:W3CDTF">2025-06-18T08:20:33Z</dcterms:modified>
</cp:coreProperties>
</file>